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Research\EMR\ProgramEvaluation\1 Current Projects\Tasmania Year 9 to 12 Review\Public submissions\Ramsay Rowan\"/>
    </mc:Choice>
  </mc:AlternateContent>
  <bookViews>
    <workbookView xWindow="255" yWindow="0" windowWidth="31845" windowHeight="20460" tabRatio="500"/>
  </bookViews>
  <sheets>
    <sheet name="Sheet1" sheetId="1" r:id="rId1"/>
  </sheets>
  <definedNames>
    <definedName name="_xlnm.Print_Area" localSheetId="0">Sheet1!$A$66:$M$86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1" l="1"/>
  <c r="G11" i="1"/>
  <c r="P11" i="1"/>
  <c r="K11" i="1"/>
  <c r="Q11" i="1"/>
  <c r="R11" i="1"/>
  <c r="J12" i="1"/>
  <c r="K12" i="1"/>
  <c r="I12" i="1"/>
  <c r="P12" i="1"/>
  <c r="L12" i="1"/>
  <c r="M12" i="1"/>
  <c r="Q12" i="1"/>
  <c r="R12" i="1"/>
  <c r="L13" i="1"/>
  <c r="M13" i="1"/>
  <c r="K13" i="1"/>
  <c r="P13" i="1"/>
  <c r="N13" i="1"/>
  <c r="O13" i="1"/>
  <c r="Q13" i="1"/>
  <c r="R13" i="1"/>
  <c r="N14" i="1"/>
  <c r="O14" i="1"/>
  <c r="M14" i="1"/>
  <c r="P14" i="1"/>
  <c r="R14" i="1"/>
  <c r="H18" i="1"/>
  <c r="C18" i="1"/>
  <c r="I18" i="1"/>
  <c r="F18" i="1"/>
  <c r="G18" i="1"/>
  <c r="P18" i="1"/>
  <c r="J18" i="1"/>
  <c r="K18" i="1"/>
  <c r="Q18" i="1"/>
  <c r="R18" i="1"/>
  <c r="J19" i="1"/>
  <c r="K19" i="1"/>
  <c r="I19" i="1"/>
  <c r="P19" i="1"/>
  <c r="L19" i="1"/>
  <c r="M19" i="1"/>
  <c r="Q19" i="1"/>
  <c r="R19" i="1"/>
  <c r="L20" i="1"/>
  <c r="M20" i="1"/>
  <c r="K20" i="1"/>
  <c r="P20" i="1"/>
  <c r="N20" i="1"/>
  <c r="O20" i="1"/>
  <c r="Q20" i="1"/>
  <c r="R20" i="1"/>
  <c r="N21" i="1"/>
  <c r="O21" i="1"/>
  <c r="M21" i="1"/>
  <c r="P21" i="1"/>
  <c r="R21" i="1"/>
  <c r="G24" i="1"/>
  <c r="E24" i="1"/>
  <c r="P24" i="1"/>
  <c r="I24" i="1"/>
  <c r="Q24" i="1"/>
  <c r="R24" i="1"/>
  <c r="H25" i="1"/>
  <c r="C25" i="1"/>
  <c r="I25" i="1"/>
  <c r="F25" i="1"/>
  <c r="G25" i="1"/>
  <c r="P25" i="1"/>
  <c r="J25" i="1"/>
  <c r="K25" i="1"/>
  <c r="Q25" i="1"/>
  <c r="R25" i="1"/>
  <c r="J26" i="1"/>
  <c r="K26" i="1"/>
  <c r="I26" i="1"/>
  <c r="P26" i="1"/>
  <c r="L26" i="1"/>
  <c r="M26" i="1"/>
  <c r="Q26" i="1"/>
  <c r="R26" i="1"/>
  <c r="L27" i="1"/>
  <c r="M27" i="1"/>
  <c r="K27" i="1"/>
  <c r="P27" i="1"/>
  <c r="N27" i="1"/>
  <c r="O27" i="1"/>
  <c r="Q27" i="1"/>
  <c r="R27" i="1"/>
  <c r="N28" i="1"/>
  <c r="O28" i="1"/>
  <c r="M28" i="1"/>
  <c r="P28" i="1"/>
  <c r="R28" i="1"/>
  <c r="H32" i="1"/>
  <c r="C32" i="1"/>
  <c r="I32" i="1"/>
  <c r="F32" i="1"/>
  <c r="G32" i="1"/>
  <c r="P32" i="1"/>
  <c r="J32" i="1"/>
  <c r="K32" i="1"/>
  <c r="Q32" i="1"/>
  <c r="R32" i="1"/>
  <c r="J33" i="1"/>
  <c r="K33" i="1"/>
  <c r="I33" i="1"/>
  <c r="P33" i="1"/>
  <c r="L33" i="1"/>
  <c r="M33" i="1"/>
  <c r="Q33" i="1"/>
  <c r="R33" i="1"/>
  <c r="L34" i="1"/>
  <c r="M34" i="1"/>
  <c r="K34" i="1"/>
  <c r="P34" i="1"/>
  <c r="N34" i="1"/>
  <c r="O34" i="1"/>
  <c r="Q34" i="1"/>
  <c r="R34" i="1"/>
  <c r="N35" i="1"/>
  <c r="O35" i="1"/>
  <c r="M35" i="1"/>
  <c r="P35" i="1"/>
  <c r="R35" i="1"/>
  <c r="H39" i="1"/>
  <c r="C39" i="1"/>
  <c r="I39" i="1"/>
  <c r="F39" i="1"/>
  <c r="G39" i="1"/>
  <c r="P39" i="1"/>
  <c r="J39" i="1"/>
  <c r="K39" i="1"/>
  <c r="Q39" i="1"/>
  <c r="R39" i="1"/>
  <c r="J40" i="1"/>
  <c r="K40" i="1"/>
  <c r="I40" i="1"/>
  <c r="P40" i="1"/>
  <c r="L40" i="1"/>
  <c r="M40" i="1"/>
  <c r="Q40" i="1"/>
  <c r="R40" i="1"/>
  <c r="L41" i="1"/>
  <c r="M41" i="1"/>
  <c r="K41" i="1"/>
  <c r="P41" i="1"/>
  <c r="N41" i="1"/>
  <c r="O41" i="1"/>
  <c r="Q41" i="1"/>
  <c r="R41" i="1"/>
  <c r="N42" i="1"/>
  <c r="O42" i="1"/>
  <c r="M42" i="1"/>
  <c r="P42" i="1"/>
  <c r="R42" i="1"/>
  <c r="G45" i="1"/>
  <c r="E45" i="1"/>
  <c r="P45" i="1"/>
  <c r="I45" i="1"/>
  <c r="Q45" i="1"/>
  <c r="R45" i="1"/>
  <c r="I46" i="1"/>
  <c r="G46" i="1"/>
  <c r="P46" i="1"/>
  <c r="K46" i="1"/>
  <c r="Q46" i="1"/>
  <c r="R46" i="1"/>
  <c r="J47" i="1"/>
  <c r="K47" i="1"/>
  <c r="I47" i="1"/>
  <c r="P47" i="1"/>
  <c r="L47" i="1"/>
  <c r="M47" i="1"/>
  <c r="Q47" i="1"/>
  <c r="R47" i="1"/>
  <c r="L48" i="1"/>
  <c r="M48" i="1"/>
  <c r="K48" i="1"/>
  <c r="P48" i="1"/>
  <c r="N48" i="1"/>
  <c r="O48" i="1"/>
  <c r="Q48" i="1"/>
  <c r="R48" i="1"/>
  <c r="N49" i="1"/>
  <c r="O49" i="1"/>
  <c r="M49" i="1"/>
  <c r="P49" i="1"/>
  <c r="R49" i="1"/>
  <c r="H53" i="1"/>
  <c r="C53" i="1"/>
  <c r="I53" i="1"/>
  <c r="F53" i="1"/>
  <c r="G53" i="1"/>
  <c r="P53" i="1"/>
  <c r="J53" i="1"/>
  <c r="K53" i="1"/>
  <c r="Q53" i="1"/>
  <c r="R53" i="1"/>
  <c r="J54" i="1"/>
  <c r="K54" i="1"/>
  <c r="I54" i="1"/>
  <c r="P54" i="1"/>
  <c r="L54" i="1"/>
  <c r="M54" i="1"/>
  <c r="Q54" i="1"/>
  <c r="R54" i="1"/>
  <c r="L55" i="1"/>
  <c r="M55" i="1"/>
  <c r="K55" i="1"/>
  <c r="P55" i="1"/>
  <c r="N55" i="1"/>
  <c r="O55" i="1"/>
  <c r="Q55" i="1"/>
  <c r="R55" i="1"/>
  <c r="N56" i="1"/>
  <c r="O56" i="1"/>
  <c r="M56" i="1"/>
  <c r="P56" i="1"/>
  <c r="R56" i="1"/>
  <c r="G59" i="1"/>
  <c r="E59" i="1"/>
  <c r="P59" i="1"/>
  <c r="I59" i="1"/>
  <c r="Q59" i="1"/>
  <c r="R59" i="1"/>
  <c r="I60" i="1"/>
  <c r="G60" i="1"/>
  <c r="P60" i="1"/>
  <c r="K60" i="1"/>
  <c r="Q60" i="1"/>
  <c r="R60" i="1"/>
  <c r="J61" i="1"/>
  <c r="K61" i="1"/>
  <c r="I61" i="1"/>
  <c r="P61" i="1"/>
  <c r="L61" i="1"/>
  <c r="M61" i="1"/>
  <c r="Q61" i="1"/>
  <c r="R61" i="1"/>
  <c r="L62" i="1"/>
  <c r="M62" i="1"/>
  <c r="K62" i="1"/>
  <c r="P62" i="1"/>
  <c r="N62" i="1"/>
  <c r="O62" i="1"/>
  <c r="Q62" i="1"/>
  <c r="R62" i="1"/>
  <c r="N63" i="1"/>
  <c r="O63" i="1"/>
  <c r="M63" i="1"/>
  <c r="P63" i="1"/>
  <c r="R63" i="1"/>
  <c r="G10" i="1"/>
  <c r="E10" i="1"/>
  <c r="P10" i="1"/>
  <c r="I10" i="1"/>
  <c r="Q10" i="1"/>
  <c r="R10" i="1"/>
  <c r="H70" i="1"/>
  <c r="C70" i="1"/>
  <c r="I70" i="1"/>
  <c r="D70" i="1"/>
  <c r="E70" i="1"/>
  <c r="J70" i="1"/>
  <c r="H71" i="1"/>
  <c r="C71" i="1"/>
  <c r="I71" i="1"/>
  <c r="D71" i="1"/>
  <c r="E71" i="1"/>
  <c r="J71" i="1"/>
  <c r="H72" i="1"/>
  <c r="C72" i="1"/>
  <c r="I72" i="1"/>
  <c r="D72" i="1"/>
  <c r="E72" i="1"/>
  <c r="J72" i="1"/>
  <c r="H69" i="1"/>
  <c r="C69" i="1"/>
  <c r="I69" i="1"/>
  <c r="D69" i="1"/>
  <c r="E69" i="1"/>
  <c r="J69" i="1"/>
  <c r="F71" i="1"/>
  <c r="G71" i="1"/>
  <c r="F72" i="1"/>
  <c r="G72" i="1"/>
  <c r="D74" i="1"/>
  <c r="F73" i="1"/>
  <c r="D73" i="1"/>
  <c r="F70" i="1"/>
  <c r="F69" i="1"/>
  <c r="C73" i="1"/>
  <c r="E73" i="1"/>
  <c r="C74" i="1"/>
  <c r="E74" i="1"/>
  <c r="G73" i="1"/>
  <c r="O64" i="1"/>
  <c r="S64" i="1"/>
  <c r="O57" i="1"/>
  <c r="S57" i="1"/>
  <c r="O50" i="1"/>
  <c r="S50" i="1"/>
  <c r="O43" i="1"/>
  <c r="S43" i="1"/>
  <c r="O36" i="1"/>
  <c r="S36" i="1"/>
  <c r="O22" i="1"/>
  <c r="S22" i="1"/>
  <c r="O29" i="1"/>
  <c r="S29" i="1"/>
  <c r="O15" i="1"/>
  <c r="S15" i="1"/>
  <c r="G70" i="1"/>
  <c r="G69" i="1"/>
  <c r="K24" i="1"/>
  <c r="K45" i="1"/>
  <c r="K59" i="1"/>
  <c r="K10" i="1"/>
</calcChain>
</file>

<file path=xl/sharedStrings.xml><?xml version="1.0" encoding="utf-8"?>
<sst xmlns="http://schemas.openxmlformats.org/spreadsheetml/2006/main" count="60" uniqueCount="53">
  <si>
    <t>College</t>
  </si>
  <si>
    <t>Year 11 in</t>
  </si>
  <si>
    <t>year 11 enrolment</t>
  </si>
  <si>
    <t>Yr 11s with TCE by 2010</t>
  </si>
  <si>
    <t>Yr 11 with TCE % 2010</t>
  </si>
  <si>
    <t>Yr 11s with TCE by 2011</t>
  </si>
  <si>
    <t>Yr 11 with TCE % 2011</t>
  </si>
  <si>
    <t>Yr 11s with TCE by 2012</t>
  </si>
  <si>
    <t>Yr 11 with TCE % 2012</t>
  </si>
  <si>
    <t>Yr 11s with TCE by 2013</t>
  </si>
  <si>
    <t>Yr 11 with TCE % 2013</t>
  </si>
  <si>
    <t>Claremont</t>
  </si>
  <si>
    <t>Don</t>
  </si>
  <si>
    <t>Elizabeth</t>
  </si>
  <si>
    <t>Hobart</t>
  </si>
  <si>
    <t>Hellyer</t>
  </si>
  <si>
    <t>Launceston</t>
  </si>
  <si>
    <t>Newstead</t>
  </si>
  <si>
    <t>Rosny</t>
  </si>
  <si>
    <t>2010*</t>
  </si>
  <si>
    <t>can be seen by clicking on the relevant cell. Only the sum has been used to calculate the %.</t>
  </si>
  <si>
    <t>2009#</t>
  </si>
  <si>
    <t>Additional %  completing in year 3 of TCE</t>
  </si>
  <si>
    <t>Michael Rowan and Eleanor Ramsay</t>
  </si>
  <si>
    <t>Year</t>
  </si>
  <si>
    <t>2009##</t>
  </si>
  <si>
    <t>STATE TOTALS</t>
  </si>
  <si>
    <t>NOTES</t>
  </si>
  <si>
    <t>COMMENTS</t>
  </si>
  <si>
    <t>Additional %  completing in year 4 of TCE</t>
  </si>
  <si>
    <t># in 2009 these colleges became part of the Tasmanian Academy and Polytechnic and did not report information to DoE at student level for the Feb Census</t>
  </si>
  <si>
    <t>## Excludes Don, Hobart, Hellyer and Newstead colleges. See note # above.</t>
  </si>
  <si>
    <t xml:space="preserve">ANALYSIS OF ALL YEAR 11 STUDENTS' SUCCESS IN ATTAINING THEIR TCE, BY COLLEGE AND YEAR (REGARDLESS OF THE % OF A FULL TIME LOAD IN WHICH THEY ENROLLED) </t>
  </si>
  <si>
    <t>Percentage of students completing full-time for each year highlighted.</t>
  </si>
  <si>
    <t>Yr 11s with TCE by 2014</t>
  </si>
  <si>
    <t>Yr 11 with TCE % 2014</t>
  </si>
  <si>
    <t>Yr 11s with TCE by 2015</t>
  </si>
  <si>
    <t>Yr 11 with TCE % 2015</t>
  </si>
  <si>
    <t>Additional %  completing by year 4 of TCE</t>
  </si>
  <si>
    <t>Data from Legislative Council Hansard 26 August 2015, provided in answer to QoN no 26 of 2014, and QoN No. 69 of 2016, asked by the Hon Ruth Forrest.</t>
  </si>
  <si>
    <t>Change in F/T completion rate 2010 to 2015</t>
  </si>
  <si>
    <t>Full time completion (over 2 years)</t>
  </si>
  <si>
    <t>Total Yr 11s</t>
  </si>
  <si>
    <t>Full and part time completion over 3 years</t>
  </si>
  <si>
    <t>Full and part time completion over 4 years</t>
  </si>
  <si>
    <t>2. Extended completion assists about 5% over 4 years, but most additional completers do so in year 13.</t>
  </si>
  <si>
    <t>1. State-wide the rate of full time completion is improving by about 3.5% per year.</t>
  </si>
  <si>
    <t>% completing TCE in 3-4 years</t>
  </si>
  <si>
    <t>*The number of TCE graduates for colleges that comprised the Academy and Polytechnic is itemised separately for each and then summed. The two elements of the sum</t>
  </si>
  <si>
    <t>Calculations on the data performed by the authors.</t>
  </si>
  <si>
    <t xml:space="preserve">3. But most importantly, state-wide only around 50% of year 11 commencers will complete their TCEs. </t>
  </si>
  <si>
    <t>This is an unacceptably low figure which requires more action than is delivering the slow improvement seen here.</t>
  </si>
  <si>
    <t>TASMANIA YRS 9-12 REVIEW RAMSAY AND ROWAN ATTACHMENT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</si>
</sst>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8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wrapText="1"/>
    </xf>
    <xf numFmtId="9" fontId="2" fillId="0" borderId="0" xfId="1" applyFont="1" applyAlignment="1">
      <alignment wrapText="1"/>
    </xf>
    <xf numFmtId="9" fontId="0" fillId="0" borderId="0" xfId="1" applyFont="1"/>
    <xf numFmtId="0" fontId="2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4" fontId="2" fillId="0" borderId="0" xfId="1" applyNumberFormat="1" applyFont="1" applyAlignment="1">
      <alignment wrapText="1"/>
    </xf>
    <xf numFmtId="164" fontId="0" fillId="0" borderId="0" xfId="1" applyNumberFormat="1" applyFont="1"/>
    <xf numFmtId="164" fontId="0" fillId="0" borderId="0" xfId="0" applyNumberFormat="1"/>
    <xf numFmtId="164" fontId="5" fillId="0" borderId="0" xfId="0" applyNumberFormat="1" applyFont="1"/>
    <xf numFmtId="164" fontId="2" fillId="0" borderId="0" xfId="1" applyNumberFormat="1" applyFont="1"/>
    <xf numFmtId="9" fontId="2" fillId="0" borderId="0" xfId="1" applyFont="1"/>
    <xf numFmtId="164" fontId="2" fillId="0" borderId="0" xfId="0" applyNumberFormat="1" applyFont="1"/>
    <xf numFmtId="0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0" fontId="2" fillId="0" borderId="0" xfId="1" applyNumberFormat="1" applyFont="1" applyFill="1"/>
    <xf numFmtId="0" fontId="0" fillId="0" borderId="0" xfId="1" applyNumberFormat="1" applyFont="1" applyFill="1"/>
    <xf numFmtId="0" fontId="2" fillId="0" borderId="0" xfId="0" applyNumberFormat="1" applyFont="1" applyAlignment="1">
      <alignment wrapText="1"/>
    </xf>
    <xf numFmtId="0" fontId="2" fillId="0" borderId="0" xfId="1" applyNumberFormat="1" applyFont="1" applyFill="1" applyAlignment="1">
      <alignment wrapText="1"/>
    </xf>
    <xf numFmtId="1" fontId="2" fillId="0" borderId="0" xfId="1" applyNumberFormat="1" applyFont="1" applyFill="1"/>
    <xf numFmtId="1" fontId="0" fillId="0" borderId="0" xfId="1" applyNumberFormat="1" applyFont="1" applyFill="1"/>
    <xf numFmtId="1" fontId="2" fillId="0" borderId="0" xfId="0" applyNumberFormat="1" applyFont="1" applyAlignment="1">
      <alignment wrapText="1"/>
    </xf>
    <xf numFmtId="1" fontId="2" fillId="0" borderId="0" xfId="1" applyNumberFormat="1" applyFont="1" applyFill="1" applyAlignment="1">
      <alignment wrapText="1"/>
    </xf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" fontId="0" fillId="0" borderId="0" xfId="0" applyNumberFormat="1"/>
    <xf numFmtId="164" fontId="7" fillId="2" borderId="0" xfId="1" applyNumberFormat="1" applyFont="1" applyFill="1"/>
  </cellXfs>
  <cellStyles count="28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topLeftCell="A2" workbookViewId="0">
      <selection activeCell="A2" sqref="A2:XFD2"/>
    </sheetView>
  </sheetViews>
  <sheetFormatPr defaultColWidth="11" defaultRowHeight="15.75" x14ac:dyDescent="0.25"/>
  <cols>
    <col min="1" max="1" width="12.875" customWidth="1"/>
    <col min="5" max="5" width="12" style="9" customWidth="1"/>
    <col min="7" max="7" width="10.875" style="9"/>
    <col min="9" max="9" width="10.875" style="9"/>
    <col min="11" max="11" width="10.875" style="18"/>
    <col min="12" max="12" width="10.875" style="22"/>
    <col min="13" max="13" width="10.875" style="18"/>
    <col min="14" max="14" width="10.875" style="26"/>
    <col min="15" max="15" width="10.875" style="18"/>
    <col min="16" max="16" width="12.875" customWidth="1"/>
    <col min="17" max="17" width="10.875" style="3"/>
    <col min="18" max="18" width="13.625" customWidth="1"/>
  </cols>
  <sheetData>
    <row r="1" spans="1:19" s="4" customFormat="1" x14ac:dyDescent="0.25">
      <c r="A1" s="4" t="s">
        <v>32</v>
      </c>
      <c r="E1" s="12"/>
      <c r="G1" s="12"/>
      <c r="I1" s="12"/>
      <c r="K1" s="19"/>
      <c r="L1" s="21"/>
      <c r="M1" s="19"/>
      <c r="N1" s="25"/>
      <c r="O1" s="19"/>
      <c r="Q1" s="13"/>
    </row>
    <row r="2" spans="1:19" s="4" customFormat="1" x14ac:dyDescent="0.25">
      <c r="A2" s="4" t="s">
        <v>52</v>
      </c>
      <c r="E2" s="12"/>
      <c r="G2" s="12"/>
      <c r="I2" s="12"/>
      <c r="K2" s="19"/>
      <c r="L2" s="21"/>
      <c r="M2" s="19"/>
      <c r="N2" s="25"/>
      <c r="O2" s="19"/>
      <c r="Q2" s="13"/>
    </row>
    <row r="3" spans="1:19" s="4" customFormat="1" x14ac:dyDescent="0.25">
      <c r="E3" s="12"/>
      <c r="G3" s="12"/>
      <c r="I3" s="12"/>
      <c r="K3" s="19"/>
      <c r="L3" s="21"/>
      <c r="M3" s="19"/>
      <c r="N3" s="25"/>
      <c r="O3" s="19"/>
      <c r="Q3" s="13"/>
    </row>
    <row r="4" spans="1:19" x14ac:dyDescent="0.25">
      <c r="A4" t="s">
        <v>23</v>
      </c>
    </row>
    <row r="5" spans="1:19" x14ac:dyDescent="0.25">
      <c r="A5" t="s">
        <v>39</v>
      </c>
    </row>
    <row r="6" spans="1:19" x14ac:dyDescent="0.25">
      <c r="A6" t="s">
        <v>49</v>
      </c>
    </row>
    <row r="7" spans="1:19" x14ac:dyDescent="0.25">
      <c r="A7" s="16" t="s">
        <v>33</v>
      </c>
      <c r="B7" s="16"/>
      <c r="C7" s="16"/>
      <c r="D7" s="16"/>
      <c r="E7" s="17"/>
    </row>
    <row r="8" spans="1:19" s="1" customFormat="1" ht="78.75" x14ac:dyDescent="0.25">
      <c r="A8" s="1" t="s">
        <v>0</v>
      </c>
      <c r="B8" s="1" t="s">
        <v>1</v>
      </c>
      <c r="C8" s="1" t="s">
        <v>2</v>
      </c>
      <c r="D8" s="1" t="s">
        <v>3</v>
      </c>
      <c r="E8" s="8" t="s">
        <v>4</v>
      </c>
      <c r="F8" s="1" t="s">
        <v>5</v>
      </c>
      <c r="G8" s="8" t="s">
        <v>6</v>
      </c>
      <c r="H8" s="1" t="s">
        <v>7</v>
      </c>
      <c r="I8" s="8" t="s">
        <v>8</v>
      </c>
      <c r="J8" s="1" t="s">
        <v>9</v>
      </c>
      <c r="K8" s="20" t="s">
        <v>10</v>
      </c>
      <c r="L8" s="23" t="s">
        <v>34</v>
      </c>
      <c r="M8" s="20" t="s">
        <v>35</v>
      </c>
      <c r="N8" s="27" t="s">
        <v>36</v>
      </c>
      <c r="O8" s="20" t="s">
        <v>37</v>
      </c>
      <c r="P8" s="1" t="s">
        <v>22</v>
      </c>
      <c r="Q8" s="1" t="s">
        <v>29</v>
      </c>
      <c r="R8" s="1" t="s">
        <v>38</v>
      </c>
      <c r="S8" s="1" t="s">
        <v>40</v>
      </c>
    </row>
    <row r="9" spans="1:19" s="1" customFormat="1" x14ac:dyDescent="0.25">
      <c r="E9" s="8"/>
      <c r="G9" s="8"/>
      <c r="I9" s="8"/>
      <c r="K9" s="20"/>
      <c r="L9" s="24"/>
      <c r="M9" s="20"/>
      <c r="N9" s="28"/>
      <c r="O9" s="20"/>
      <c r="Q9" s="2"/>
    </row>
    <row r="10" spans="1:19" x14ac:dyDescent="0.25">
      <c r="A10" s="4" t="s">
        <v>11</v>
      </c>
      <c r="B10">
        <v>2009</v>
      </c>
      <c r="C10">
        <v>439</v>
      </c>
      <c r="D10">
        <v>57</v>
      </c>
      <c r="E10" s="17">
        <f>D10/$C10</f>
        <v>0.12984054669703873</v>
      </c>
      <c r="F10">
        <v>73</v>
      </c>
      <c r="G10" s="9">
        <f>F10/$C10</f>
        <v>0.1662870159453303</v>
      </c>
      <c r="H10">
        <v>76</v>
      </c>
      <c r="I10" s="9">
        <f>H10/$C10</f>
        <v>0.17312072892938496</v>
      </c>
      <c r="J10">
        <v>82</v>
      </c>
      <c r="K10" s="18">
        <f>J10/$C10</f>
        <v>0.18678815489749431</v>
      </c>
      <c r="P10" s="10">
        <f>G10-E10</f>
        <v>3.6446469248291563E-2</v>
      </c>
      <c r="Q10" s="9">
        <f>I10-G10</f>
        <v>6.8337129840546629E-3</v>
      </c>
      <c r="R10" s="10">
        <f>P10+Q10</f>
        <v>4.3280182232346226E-2</v>
      </c>
    </row>
    <row r="11" spans="1:19" x14ac:dyDescent="0.25">
      <c r="A11" s="4"/>
      <c r="B11">
        <v>2010</v>
      </c>
      <c r="C11">
        <v>451</v>
      </c>
      <c r="F11">
        <v>90</v>
      </c>
      <c r="G11" s="17">
        <f t="shared" ref="G11:G60" si="0">F11/$C11</f>
        <v>0.19955654101995565</v>
      </c>
      <c r="H11">
        <v>106</v>
      </c>
      <c r="I11" s="9">
        <f t="shared" ref="I11:I61" si="1">H11/$C11</f>
        <v>0.23503325942350334</v>
      </c>
      <c r="J11">
        <v>114</v>
      </c>
      <c r="K11" s="18">
        <f t="shared" ref="K11:O63" si="2">J11/$C11</f>
        <v>0.25277161862527714</v>
      </c>
      <c r="P11" s="10">
        <f>I11-G11</f>
        <v>3.5476718403547686E-2</v>
      </c>
      <c r="Q11" s="9">
        <f>K11-I11</f>
        <v>1.7738359201773801E-2</v>
      </c>
      <c r="R11" s="10">
        <f t="shared" ref="R11:R63" si="3">P11+Q11</f>
        <v>5.3215077605321487E-2</v>
      </c>
    </row>
    <row r="12" spans="1:19" x14ac:dyDescent="0.25">
      <c r="B12">
        <v>2011</v>
      </c>
      <c r="C12">
        <v>440</v>
      </c>
      <c r="H12">
        <v>91</v>
      </c>
      <c r="I12" s="17">
        <f t="shared" si="1"/>
        <v>0.20681818181818182</v>
      </c>
      <c r="J12">
        <f>H12+15</f>
        <v>106</v>
      </c>
      <c r="K12" s="18">
        <f t="shared" si="2"/>
        <v>0.24090909090909091</v>
      </c>
      <c r="L12" s="22">
        <f>J12+7</f>
        <v>113</v>
      </c>
      <c r="M12" s="18">
        <f t="shared" si="2"/>
        <v>0.25681818181818183</v>
      </c>
      <c r="P12" s="10">
        <f>K12-I12</f>
        <v>3.4090909090909088E-2</v>
      </c>
      <c r="Q12" s="9">
        <f>M12-K12</f>
        <v>1.5909090909090928E-2</v>
      </c>
      <c r="R12" s="10">
        <f t="shared" si="3"/>
        <v>5.0000000000000017E-2</v>
      </c>
    </row>
    <row r="13" spans="1:19" s="30" customFormat="1" x14ac:dyDescent="0.25">
      <c r="A13" s="29"/>
      <c r="B13" s="30">
        <v>2012</v>
      </c>
      <c r="C13" s="30">
        <v>452</v>
      </c>
      <c r="E13" s="18"/>
      <c r="G13" s="18"/>
      <c r="I13" s="18"/>
      <c r="J13" s="30">
        <v>106</v>
      </c>
      <c r="K13" s="33">
        <f t="shared" si="2"/>
        <v>0.23451327433628319</v>
      </c>
      <c r="L13" s="22">
        <f>J13+10</f>
        <v>116</v>
      </c>
      <c r="M13" s="18">
        <f t="shared" si="2"/>
        <v>0.25663716814159293</v>
      </c>
      <c r="N13" s="26">
        <f>+L13+13</f>
        <v>129</v>
      </c>
      <c r="O13" s="18">
        <f t="shared" si="2"/>
        <v>0.28539823008849557</v>
      </c>
      <c r="P13" s="31">
        <f>M13-K13</f>
        <v>2.2123893805309741E-2</v>
      </c>
      <c r="Q13" s="18">
        <f>O13-M13</f>
        <v>2.8761061946902644E-2</v>
      </c>
      <c r="R13" s="31">
        <f t="shared" si="3"/>
        <v>5.0884955752212385E-2</v>
      </c>
      <c r="S13" s="31"/>
    </row>
    <row r="14" spans="1:19" x14ac:dyDescent="0.25">
      <c r="A14" s="4"/>
      <c r="B14">
        <v>2013</v>
      </c>
      <c r="C14">
        <v>410</v>
      </c>
      <c r="L14">
        <v>112</v>
      </c>
      <c r="M14" s="17">
        <f>L14/$C14</f>
        <v>0.27317073170731709</v>
      </c>
      <c r="N14" s="22">
        <f>L14+18</f>
        <v>130</v>
      </c>
      <c r="O14" s="18">
        <f>N14/$C14</f>
        <v>0.31707317073170732</v>
      </c>
      <c r="P14" s="10">
        <f>O14-M14</f>
        <v>4.3902439024390227E-2</v>
      </c>
      <c r="Q14" s="9"/>
      <c r="R14" s="10">
        <f t="shared" si="3"/>
        <v>4.3902439024390227E-2</v>
      </c>
      <c r="S14" s="10"/>
    </row>
    <row r="15" spans="1:19" x14ac:dyDescent="0.25">
      <c r="A15" s="4"/>
      <c r="B15">
        <v>2014</v>
      </c>
      <c r="C15">
        <v>376</v>
      </c>
      <c r="N15" s="26">
        <v>129</v>
      </c>
      <c r="O15" s="17">
        <f>N15/$C15</f>
        <v>0.34308510638297873</v>
      </c>
      <c r="P15" s="10"/>
      <c r="Q15" s="9"/>
      <c r="R15" s="10"/>
      <c r="S15" s="10">
        <f>O15-G11</f>
        <v>0.14352856536302308</v>
      </c>
    </row>
    <row r="16" spans="1:19" x14ac:dyDescent="0.25">
      <c r="A16" s="4"/>
      <c r="P16" s="10"/>
      <c r="Q16" s="9"/>
      <c r="R16" s="10"/>
    </row>
    <row r="17" spans="1:19" x14ac:dyDescent="0.25">
      <c r="A17" s="4" t="s">
        <v>12</v>
      </c>
      <c r="B17" s="5" t="s">
        <v>21</v>
      </c>
      <c r="P17" s="10"/>
      <c r="Q17" s="9"/>
      <c r="R17" s="10"/>
    </row>
    <row r="18" spans="1:19" x14ac:dyDescent="0.25">
      <c r="A18" s="4"/>
      <c r="B18" s="5" t="s">
        <v>19</v>
      </c>
      <c r="C18">
        <f>255+241</f>
        <v>496</v>
      </c>
      <c r="F18">
        <f>138+34</f>
        <v>172</v>
      </c>
      <c r="G18" s="17">
        <f>F18/$C18</f>
        <v>0.34677419354838712</v>
      </c>
      <c r="H18">
        <f>148+38</f>
        <v>186</v>
      </c>
      <c r="I18" s="9">
        <f>H18/$C18</f>
        <v>0.375</v>
      </c>
      <c r="J18">
        <f>151+51</f>
        <v>202</v>
      </c>
      <c r="K18" s="18">
        <f>J18/$C18</f>
        <v>0.40725806451612906</v>
      </c>
      <c r="P18" s="10">
        <f>I18-G18</f>
        <v>2.8225806451612878E-2</v>
      </c>
      <c r="Q18" s="9">
        <f>K18-I18</f>
        <v>3.2258064516129059E-2</v>
      </c>
      <c r="R18" s="10">
        <f t="shared" si="3"/>
        <v>6.0483870967741937E-2</v>
      </c>
    </row>
    <row r="19" spans="1:19" x14ac:dyDescent="0.25">
      <c r="B19">
        <v>2011</v>
      </c>
      <c r="C19">
        <v>442</v>
      </c>
      <c r="H19">
        <v>174</v>
      </c>
      <c r="I19" s="17">
        <f t="shared" si="1"/>
        <v>0.39366515837104071</v>
      </c>
      <c r="J19">
        <f>H19+16</f>
        <v>190</v>
      </c>
      <c r="K19" s="18">
        <f t="shared" si="2"/>
        <v>0.42986425339366519</v>
      </c>
      <c r="L19" s="22">
        <f>J19+3</f>
        <v>193</v>
      </c>
      <c r="M19" s="18">
        <f t="shared" si="2"/>
        <v>0.43665158371040724</v>
      </c>
      <c r="P19" s="10">
        <f>K19-I19</f>
        <v>3.6199095022624472E-2</v>
      </c>
      <c r="Q19" s="9">
        <f>M19-K19</f>
        <v>6.7873303167420573E-3</v>
      </c>
      <c r="R19" s="10">
        <f t="shared" si="3"/>
        <v>4.298642533936653E-2</v>
      </c>
    </row>
    <row r="20" spans="1:19" s="30" customFormat="1" x14ac:dyDescent="0.25">
      <c r="A20" s="29"/>
      <c r="B20" s="30">
        <v>2012</v>
      </c>
      <c r="C20" s="30">
        <v>508</v>
      </c>
      <c r="E20" s="18"/>
      <c r="G20" s="18"/>
      <c r="I20" s="18"/>
      <c r="J20" s="30">
        <v>191</v>
      </c>
      <c r="K20" s="17">
        <f t="shared" si="2"/>
        <v>0.37598425196850394</v>
      </c>
      <c r="L20" s="22">
        <f>J20+9</f>
        <v>200</v>
      </c>
      <c r="M20" s="18">
        <f t="shared" si="2"/>
        <v>0.39370078740157483</v>
      </c>
      <c r="N20" s="26">
        <f>L20+9</f>
        <v>209</v>
      </c>
      <c r="O20" s="18">
        <f t="shared" si="2"/>
        <v>0.41141732283464566</v>
      </c>
      <c r="P20" s="31">
        <f>M20-K20</f>
        <v>1.771653543307089E-2</v>
      </c>
      <c r="Q20" s="18">
        <f>O20-M20</f>
        <v>1.7716535433070835E-2</v>
      </c>
      <c r="R20" s="31">
        <f t="shared" si="3"/>
        <v>3.5433070866141725E-2</v>
      </c>
      <c r="S20" s="31"/>
    </row>
    <row r="21" spans="1:19" x14ac:dyDescent="0.25">
      <c r="A21" s="4"/>
      <c r="B21">
        <v>2013</v>
      </c>
      <c r="C21">
        <v>548</v>
      </c>
      <c r="L21" s="22">
        <v>228</v>
      </c>
      <c r="M21" s="17">
        <f t="shared" si="2"/>
        <v>0.41605839416058393</v>
      </c>
      <c r="N21" s="26">
        <f>L21+12</f>
        <v>240</v>
      </c>
      <c r="O21" s="18">
        <f t="shared" si="2"/>
        <v>0.43795620437956206</v>
      </c>
      <c r="P21" s="10">
        <f>O21-M21</f>
        <v>2.1897810218978131E-2</v>
      </c>
      <c r="Q21" s="9"/>
      <c r="R21" s="10">
        <f t="shared" si="3"/>
        <v>2.1897810218978131E-2</v>
      </c>
      <c r="S21" s="10"/>
    </row>
    <row r="22" spans="1:19" x14ac:dyDescent="0.25">
      <c r="A22" s="4"/>
      <c r="B22">
        <v>2014</v>
      </c>
      <c r="C22">
        <v>532</v>
      </c>
      <c r="N22" s="26">
        <v>231</v>
      </c>
      <c r="O22" s="17">
        <f t="shared" si="2"/>
        <v>0.43421052631578949</v>
      </c>
      <c r="P22" s="10"/>
      <c r="Q22" s="9"/>
      <c r="R22" s="10"/>
      <c r="S22" s="10">
        <f>O22-G18</f>
        <v>8.7436332767402369E-2</v>
      </c>
    </row>
    <row r="23" spans="1:19" x14ac:dyDescent="0.25">
      <c r="A23" s="4"/>
      <c r="P23" s="10"/>
      <c r="Q23" s="9"/>
      <c r="R23" s="10"/>
    </row>
    <row r="24" spans="1:19" x14ac:dyDescent="0.25">
      <c r="A24" s="4" t="s">
        <v>13</v>
      </c>
      <c r="B24" s="5">
        <v>2009</v>
      </c>
      <c r="C24">
        <v>501</v>
      </c>
      <c r="D24">
        <v>166</v>
      </c>
      <c r="E24" s="17">
        <f t="shared" ref="E24:E59" si="4">D24/$C24</f>
        <v>0.33133732534930138</v>
      </c>
      <c r="F24">
        <v>186</v>
      </c>
      <c r="G24" s="9">
        <f t="shared" si="0"/>
        <v>0.3712574850299401</v>
      </c>
      <c r="H24">
        <v>195</v>
      </c>
      <c r="I24" s="9">
        <f t="shared" si="1"/>
        <v>0.38922155688622756</v>
      </c>
      <c r="J24">
        <v>204</v>
      </c>
      <c r="K24" s="18">
        <f t="shared" si="2"/>
        <v>0.40718562874251496</v>
      </c>
      <c r="P24" s="10">
        <f>G24-E24</f>
        <v>3.9920159680638723E-2</v>
      </c>
      <c r="Q24" s="9">
        <f>I24-G24</f>
        <v>1.7964071856287456E-2</v>
      </c>
      <c r="R24" s="10">
        <f t="shared" si="3"/>
        <v>5.7884231536926178E-2</v>
      </c>
    </row>
    <row r="25" spans="1:19" x14ac:dyDescent="0.25">
      <c r="A25" s="4"/>
      <c r="B25" s="5" t="s">
        <v>19</v>
      </c>
      <c r="C25">
        <f>302+136</f>
        <v>438</v>
      </c>
      <c r="F25">
        <f>151+24</f>
        <v>175</v>
      </c>
      <c r="G25" s="17">
        <f t="shared" si="0"/>
        <v>0.3995433789954338</v>
      </c>
      <c r="H25">
        <f>169+26</f>
        <v>195</v>
      </c>
      <c r="I25" s="9">
        <f t="shared" si="1"/>
        <v>0.4452054794520548</v>
      </c>
      <c r="J25">
        <f>174+31</f>
        <v>205</v>
      </c>
      <c r="K25" s="18">
        <f t="shared" si="2"/>
        <v>0.4680365296803653</v>
      </c>
      <c r="P25" s="10">
        <f>I25-G25</f>
        <v>4.5662100456621002E-2</v>
      </c>
      <c r="Q25" s="9">
        <f>K25-I25</f>
        <v>2.2831050228310501E-2</v>
      </c>
      <c r="R25" s="10">
        <f t="shared" si="3"/>
        <v>6.8493150684931503E-2</v>
      </c>
    </row>
    <row r="26" spans="1:19" x14ac:dyDescent="0.25">
      <c r="B26">
        <v>2011</v>
      </c>
      <c r="C26">
        <v>452</v>
      </c>
      <c r="H26">
        <v>215</v>
      </c>
      <c r="I26" s="17">
        <f t="shared" si="1"/>
        <v>0.47566371681415931</v>
      </c>
      <c r="J26">
        <f>H26+17</f>
        <v>232</v>
      </c>
      <c r="K26" s="18">
        <f t="shared" si="2"/>
        <v>0.51327433628318586</v>
      </c>
      <c r="L26" s="22">
        <f>J26+6</f>
        <v>238</v>
      </c>
      <c r="M26" s="18">
        <f t="shared" si="2"/>
        <v>0.52654867256637172</v>
      </c>
      <c r="P26" s="10">
        <f>K26-I26</f>
        <v>3.7610619469026552E-2</v>
      </c>
      <c r="Q26" s="9">
        <f>M26-K26</f>
        <v>1.3274336283185861E-2</v>
      </c>
      <c r="R26" s="10">
        <f t="shared" si="3"/>
        <v>5.0884955752212413E-2</v>
      </c>
    </row>
    <row r="27" spans="1:19" s="30" customFormat="1" x14ac:dyDescent="0.25">
      <c r="A27" s="29"/>
      <c r="B27" s="30">
        <v>2012</v>
      </c>
      <c r="C27" s="30">
        <v>427</v>
      </c>
      <c r="E27" s="18"/>
      <c r="G27" s="18"/>
      <c r="I27" s="18"/>
      <c r="J27" s="30">
        <v>210</v>
      </c>
      <c r="K27" s="17">
        <f t="shared" si="2"/>
        <v>0.49180327868852458</v>
      </c>
      <c r="L27" s="22">
        <f>J27+16</f>
        <v>226</v>
      </c>
      <c r="M27" s="18">
        <f t="shared" si="2"/>
        <v>0.52927400468384078</v>
      </c>
      <c r="N27" s="26">
        <f>L27+16</f>
        <v>242</v>
      </c>
      <c r="O27" s="18">
        <f t="shared" si="2"/>
        <v>0.56674473067915687</v>
      </c>
      <c r="P27" s="31">
        <f>M27-K27</f>
        <v>3.7470725995316201E-2</v>
      </c>
      <c r="Q27" s="18">
        <f>O27-M27</f>
        <v>3.747072599531609E-2</v>
      </c>
      <c r="R27" s="31">
        <f t="shared" si="3"/>
        <v>7.4941451990632291E-2</v>
      </c>
      <c r="S27" s="31"/>
    </row>
    <row r="28" spans="1:19" x14ac:dyDescent="0.25">
      <c r="A28" s="4"/>
      <c r="B28">
        <v>2013</v>
      </c>
      <c r="C28">
        <v>533</v>
      </c>
      <c r="L28" s="22">
        <v>277</v>
      </c>
      <c r="M28" s="17">
        <f t="shared" si="2"/>
        <v>0.51969981238273921</v>
      </c>
      <c r="N28" s="26">
        <f>L28+20</f>
        <v>297</v>
      </c>
      <c r="O28" s="18">
        <f t="shared" si="2"/>
        <v>0.55722326454033766</v>
      </c>
      <c r="P28" s="10">
        <f>O28-M28</f>
        <v>3.7523452157598447E-2</v>
      </c>
      <c r="Q28" s="9"/>
      <c r="R28" s="10">
        <f t="shared" si="3"/>
        <v>3.7523452157598447E-2</v>
      </c>
      <c r="S28" s="10"/>
    </row>
    <row r="29" spans="1:19" x14ac:dyDescent="0.25">
      <c r="A29" s="4"/>
      <c r="B29">
        <v>2014</v>
      </c>
      <c r="C29">
        <v>480</v>
      </c>
      <c r="N29" s="26">
        <v>267</v>
      </c>
      <c r="O29" s="17">
        <f t="shared" si="2"/>
        <v>0.55625000000000002</v>
      </c>
      <c r="P29" s="10"/>
      <c r="Q29" s="9"/>
      <c r="R29" s="10"/>
      <c r="S29" s="10">
        <f>O29-G25</f>
        <v>0.15670662100456623</v>
      </c>
    </row>
    <row r="30" spans="1:19" x14ac:dyDescent="0.25">
      <c r="A30" s="4"/>
      <c r="P30" s="10"/>
      <c r="Q30" s="9"/>
      <c r="R30" s="10"/>
      <c r="S30" s="10"/>
    </row>
    <row r="31" spans="1:19" x14ac:dyDescent="0.25">
      <c r="A31" s="4" t="s">
        <v>15</v>
      </c>
      <c r="B31" s="5" t="s">
        <v>21</v>
      </c>
      <c r="P31" s="10"/>
      <c r="Q31" s="9"/>
      <c r="R31" s="10"/>
    </row>
    <row r="32" spans="1:19" x14ac:dyDescent="0.25">
      <c r="A32" s="4"/>
      <c r="B32" s="6" t="s">
        <v>19</v>
      </c>
      <c r="C32">
        <f>222+180</f>
        <v>402</v>
      </c>
      <c r="F32">
        <f>110+33</f>
        <v>143</v>
      </c>
      <c r="G32" s="17">
        <f t="shared" ref="G32" si="5">F32/$C32</f>
        <v>0.35572139303482586</v>
      </c>
      <c r="H32">
        <f>115+35</f>
        <v>150</v>
      </c>
      <c r="I32" s="9">
        <f t="shared" ref="I32:I33" si="6">H32/$C32</f>
        <v>0.37313432835820898</v>
      </c>
      <c r="J32">
        <f>117+41</f>
        <v>158</v>
      </c>
      <c r="K32" s="18">
        <f t="shared" ref="K32:K34" si="7">J32/$C32</f>
        <v>0.39303482587064675</v>
      </c>
      <c r="P32" s="10">
        <f>I32-G32</f>
        <v>1.7412935323383116E-2</v>
      </c>
      <c r="Q32" s="9">
        <f>K32-I32</f>
        <v>1.9900497512437776E-2</v>
      </c>
      <c r="R32" s="10">
        <f t="shared" si="3"/>
        <v>3.7313432835820892E-2</v>
      </c>
    </row>
    <row r="33" spans="1:19" x14ac:dyDescent="0.25">
      <c r="B33">
        <v>2011</v>
      </c>
      <c r="C33">
        <v>426</v>
      </c>
      <c r="H33">
        <v>140</v>
      </c>
      <c r="I33" s="17">
        <f t="shared" si="6"/>
        <v>0.32863849765258218</v>
      </c>
      <c r="J33">
        <f>H33+7</f>
        <v>147</v>
      </c>
      <c r="K33" s="18">
        <f t="shared" si="7"/>
        <v>0.34507042253521125</v>
      </c>
      <c r="L33" s="22">
        <f>J33+11</f>
        <v>158</v>
      </c>
      <c r="M33" s="18">
        <f t="shared" si="2"/>
        <v>0.37089201877934275</v>
      </c>
      <c r="P33" s="10">
        <f>K33-I33</f>
        <v>1.6431924882629068E-2</v>
      </c>
      <c r="Q33" s="9">
        <f>M33-K33</f>
        <v>2.5821596244131495E-2</v>
      </c>
      <c r="R33" s="10">
        <f t="shared" si="3"/>
        <v>4.2253521126760563E-2</v>
      </c>
    </row>
    <row r="34" spans="1:19" s="30" customFormat="1" x14ac:dyDescent="0.25">
      <c r="A34" s="29"/>
      <c r="B34" s="30">
        <v>2012</v>
      </c>
      <c r="C34" s="30">
        <v>442</v>
      </c>
      <c r="E34" s="18"/>
      <c r="G34" s="18"/>
      <c r="I34" s="18"/>
      <c r="J34" s="30">
        <v>172</v>
      </c>
      <c r="K34" s="17">
        <f t="shared" si="7"/>
        <v>0.38914027149321267</v>
      </c>
      <c r="L34" s="22">
        <f>J34+11</f>
        <v>183</v>
      </c>
      <c r="M34" s="18">
        <f t="shared" si="2"/>
        <v>0.41402714932126694</v>
      </c>
      <c r="N34" s="26">
        <f>L34+9</f>
        <v>192</v>
      </c>
      <c r="O34" s="18">
        <f t="shared" si="2"/>
        <v>0.43438914027149322</v>
      </c>
      <c r="P34" s="31">
        <f>M34-K34</f>
        <v>2.4886877828054266E-2</v>
      </c>
      <c r="Q34" s="18">
        <f>O34-M34</f>
        <v>2.0361990950226283E-2</v>
      </c>
      <c r="R34" s="31">
        <f t="shared" si="3"/>
        <v>4.5248868778280549E-2</v>
      </c>
      <c r="S34" s="31"/>
    </row>
    <row r="35" spans="1:19" s="30" customFormat="1" x14ac:dyDescent="0.25">
      <c r="A35" s="29"/>
      <c r="B35" s="30">
        <v>2013</v>
      </c>
      <c r="C35" s="30">
        <v>474</v>
      </c>
      <c r="E35" s="18"/>
      <c r="G35" s="18"/>
      <c r="I35" s="18"/>
      <c r="K35" s="18"/>
      <c r="L35" s="22">
        <v>207</v>
      </c>
      <c r="M35" s="17">
        <f t="shared" si="2"/>
        <v>0.43670886075949367</v>
      </c>
      <c r="N35" s="26">
        <f>L35+4</f>
        <v>211</v>
      </c>
      <c r="O35" s="18">
        <f t="shared" si="2"/>
        <v>0.44514767932489452</v>
      </c>
      <c r="P35" s="31">
        <f>O35-M35</f>
        <v>8.4388185654008518E-3</v>
      </c>
      <c r="Q35" s="18"/>
      <c r="R35" s="10">
        <f t="shared" si="3"/>
        <v>8.4388185654008518E-3</v>
      </c>
      <c r="S35" s="31"/>
    </row>
    <row r="36" spans="1:19" x14ac:dyDescent="0.25">
      <c r="A36" s="4"/>
      <c r="B36">
        <v>2014</v>
      </c>
      <c r="C36" s="30">
        <v>472</v>
      </c>
      <c r="N36" s="26">
        <v>206</v>
      </c>
      <c r="O36" s="17">
        <f t="shared" si="2"/>
        <v>0.4364406779661017</v>
      </c>
      <c r="P36" s="10"/>
      <c r="Q36" s="9"/>
      <c r="R36" s="10"/>
      <c r="S36" s="10">
        <f>O36-G32</f>
        <v>8.0719284931275836E-2</v>
      </c>
    </row>
    <row r="37" spans="1:19" x14ac:dyDescent="0.25">
      <c r="A37" s="4"/>
      <c r="P37" s="10"/>
      <c r="Q37" s="9"/>
      <c r="R37" s="10"/>
    </row>
    <row r="38" spans="1:19" x14ac:dyDescent="0.25">
      <c r="A38" s="4" t="s">
        <v>14</v>
      </c>
      <c r="B38" s="6" t="s">
        <v>21</v>
      </c>
      <c r="P38" s="10"/>
      <c r="Q38" s="9"/>
      <c r="R38" s="10"/>
    </row>
    <row r="39" spans="1:19" x14ac:dyDescent="0.25">
      <c r="A39" s="4"/>
      <c r="B39" s="5" t="s">
        <v>19</v>
      </c>
      <c r="C39">
        <f>238+194</f>
        <v>432</v>
      </c>
      <c r="F39">
        <f>161+38</f>
        <v>199</v>
      </c>
      <c r="G39" s="17">
        <f>F39/$C39</f>
        <v>0.46064814814814814</v>
      </c>
      <c r="H39">
        <f>162+41</f>
        <v>203</v>
      </c>
      <c r="I39" s="9">
        <f>H39/$C39</f>
        <v>0.46990740740740738</v>
      </c>
      <c r="J39">
        <f>162+43</f>
        <v>205</v>
      </c>
      <c r="K39" s="18">
        <f>J39/$C39</f>
        <v>0.47453703703703703</v>
      </c>
      <c r="P39" s="10">
        <f>I39-G39</f>
        <v>9.2592592592592449E-3</v>
      </c>
      <c r="Q39" s="9">
        <f>K39-I39</f>
        <v>4.6296296296296502E-3</v>
      </c>
      <c r="R39" s="10">
        <f t="shared" si="3"/>
        <v>1.3888888888888895E-2</v>
      </c>
    </row>
    <row r="40" spans="1:19" x14ac:dyDescent="0.25">
      <c r="B40">
        <v>2011</v>
      </c>
      <c r="C40">
        <v>467</v>
      </c>
      <c r="H40">
        <v>228</v>
      </c>
      <c r="I40" s="17">
        <f>H40/$C40</f>
        <v>0.48822269807280516</v>
      </c>
      <c r="J40">
        <f>H40+17</f>
        <v>245</v>
      </c>
      <c r="K40" s="18">
        <f>J40/$C40</f>
        <v>0.52462526766595285</v>
      </c>
      <c r="L40" s="22">
        <f>J40+9</f>
        <v>254</v>
      </c>
      <c r="M40" s="18">
        <f t="shared" si="2"/>
        <v>0.54389721627408993</v>
      </c>
      <c r="P40" s="10">
        <f>K40-I40</f>
        <v>3.6402569593147693E-2</v>
      </c>
      <c r="Q40" s="9">
        <f>M40-K40</f>
        <v>1.9271948608137079E-2</v>
      </c>
      <c r="R40" s="10">
        <f t="shared" si="3"/>
        <v>5.5674518201284773E-2</v>
      </c>
    </row>
    <row r="41" spans="1:19" s="30" customFormat="1" x14ac:dyDescent="0.25">
      <c r="A41" s="29"/>
      <c r="B41" s="30">
        <v>2012</v>
      </c>
      <c r="C41" s="30">
        <v>475</v>
      </c>
      <c r="E41" s="18"/>
      <c r="G41" s="18"/>
      <c r="I41" s="18"/>
      <c r="J41" s="30">
        <v>271</v>
      </c>
      <c r="K41" s="17">
        <f>J41/$C41</f>
        <v>0.57052631578947366</v>
      </c>
      <c r="L41" s="22">
        <f>J41+7</f>
        <v>278</v>
      </c>
      <c r="M41" s="18">
        <f t="shared" si="2"/>
        <v>0.58526315789473682</v>
      </c>
      <c r="N41" s="26">
        <f>L41+12</f>
        <v>290</v>
      </c>
      <c r="O41" s="18">
        <f t="shared" si="2"/>
        <v>0.61052631578947369</v>
      </c>
      <c r="P41" s="31">
        <f>M41-K41</f>
        <v>1.4736842105263159E-2</v>
      </c>
      <c r="Q41" s="18">
        <f>O41-M41</f>
        <v>2.5263157894736876E-2</v>
      </c>
      <c r="R41" s="31">
        <f t="shared" si="3"/>
        <v>4.0000000000000036E-2</v>
      </c>
      <c r="S41" s="31"/>
    </row>
    <row r="42" spans="1:19" x14ac:dyDescent="0.25">
      <c r="A42" s="4"/>
      <c r="B42">
        <v>2013</v>
      </c>
      <c r="C42">
        <v>428</v>
      </c>
      <c r="L42" s="22">
        <v>264</v>
      </c>
      <c r="M42" s="17">
        <f t="shared" si="2"/>
        <v>0.61682242990654201</v>
      </c>
      <c r="N42" s="26">
        <f>L42+11</f>
        <v>275</v>
      </c>
      <c r="O42" s="18">
        <f t="shared" si="2"/>
        <v>0.64252336448598135</v>
      </c>
      <c r="P42" s="10">
        <f>O42-M42</f>
        <v>2.5700934579439338E-2</v>
      </c>
      <c r="Q42" s="9"/>
      <c r="R42" s="10">
        <f t="shared" si="3"/>
        <v>2.5700934579439338E-2</v>
      </c>
      <c r="S42" s="10"/>
    </row>
    <row r="43" spans="1:19" x14ac:dyDescent="0.25">
      <c r="A43" s="4"/>
      <c r="B43">
        <v>2014</v>
      </c>
      <c r="C43">
        <v>493</v>
      </c>
      <c r="N43" s="26">
        <v>342</v>
      </c>
      <c r="O43" s="17">
        <f t="shared" si="2"/>
        <v>0.69371196754563891</v>
      </c>
      <c r="P43" s="10"/>
      <c r="Q43" s="9"/>
      <c r="R43" s="10"/>
      <c r="S43" s="10">
        <f>O43-G39</f>
        <v>0.23306381939749077</v>
      </c>
    </row>
    <row r="44" spans="1:19" x14ac:dyDescent="0.25">
      <c r="A44" s="4"/>
      <c r="P44" s="10"/>
      <c r="Q44" s="9"/>
      <c r="R44" s="10"/>
    </row>
    <row r="45" spans="1:19" x14ac:dyDescent="0.25">
      <c r="A45" s="4" t="s">
        <v>16</v>
      </c>
      <c r="B45">
        <v>2009</v>
      </c>
      <c r="C45">
        <v>720</v>
      </c>
      <c r="D45">
        <v>289</v>
      </c>
      <c r="E45" s="17">
        <f t="shared" si="4"/>
        <v>0.40138888888888891</v>
      </c>
      <c r="F45">
        <v>307</v>
      </c>
      <c r="G45" s="9">
        <f t="shared" si="0"/>
        <v>0.42638888888888887</v>
      </c>
      <c r="H45">
        <v>311</v>
      </c>
      <c r="I45" s="9">
        <f t="shared" si="1"/>
        <v>0.43194444444444446</v>
      </c>
      <c r="J45">
        <v>321</v>
      </c>
      <c r="K45" s="18">
        <f t="shared" si="2"/>
        <v>0.44583333333333336</v>
      </c>
      <c r="P45" s="10">
        <f>G45-E45</f>
        <v>2.4999999999999967E-2</v>
      </c>
      <c r="Q45" s="9">
        <f>I45-G45</f>
        <v>5.5555555555555913E-3</v>
      </c>
      <c r="R45" s="10">
        <f t="shared" si="3"/>
        <v>3.0555555555555558E-2</v>
      </c>
    </row>
    <row r="46" spans="1:19" x14ac:dyDescent="0.25">
      <c r="A46" s="4"/>
      <c r="B46">
        <v>2010</v>
      </c>
      <c r="C46">
        <v>750</v>
      </c>
      <c r="F46">
        <v>337</v>
      </c>
      <c r="G46" s="17">
        <f t="shared" si="0"/>
        <v>0.44933333333333331</v>
      </c>
      <c r="H46">
        <v>351</v>
      </c>
      <c r="I46" s="9">
        <f t="shared" si="1"/>
        <v>0.46800000000000003</v>
      </c>
      <c r="J46">
        <v>373</v>
      </c>
      <c r="K46" s="18">
        <f t="shared" si="2"/>
        <v>0.49733333333333335</v>
      </c>
      <c r="P46" s="10">
        <f>I46-G46</f>
        <v>1.866666666666672E-2</v>
      </c>
      <c r="Q46" s="9">
        <f>K46-I46</f>
        <v>2.9333333333333322E-2</v>
      </c>
      <c r="R46" s="10">
        <f t="shared" si="3"/>
        <v>4.8000000000000043E-2</v>
      </c>
    </row>
    <row r="47" spans="1:19" x14ac:dyDescent="0.25">
      <c r="B47">
        <v>2011</v>
      </c>
      <c r="C47">
        <v>803</v>
      </c>
      <c r="H47">
        <v>424</v>
      </c>
      <c r="I47" s="17">
        <f t="shared" si="1"/>
        <v>0.52801992528019925</v>
      </c>
      <c r="J47">
        <f>H47+15</f>
        <v>439</v>
      </c>
      <c r="K47" s="18">
        <f t="shared" si="2"/>
        <v>0.54669987546699872</v>
      </c>
      <c r="L47" s="22">
        <f>J47+10</f>
        <v>449</v>
      </c>
      <c r="M47" s="18">
        <f t="shared" si="2"/>
        <v>0.55915317559153177</v>
      </c>
      <c r="P47" s="10">
        <f>K47-I47</f>
        <v>1.8679950186799466E-2</v>
      </c>
      <c r="Q47" s="9">
        <f>M47-K47</f>
        <v>1.2453300124533051E-2</v>
      </c>
      <c r="R47" s="10">
        <f t="shared" si="3"/>
        <v>3.1133250311332517E-2</v>
      </c>
    </row>
    <row r="48" spans="1:19" s="30" customFormat="1" x14ac:dyDescent="0.25">
      <c r="A48" s="29"/>
      <c r="B48" s="30">
        <v>2012</v>
      </c>
      <c r="C48" s="30">
        <v>758</v>
      </c>
      <c r="E48" s="18"/>
      <c r="G48" s="18"/>
      <c r="I48" s="18"/>
      <c r="J48" s="30">
        <v>452</v>
      </c>
      <c r="K48" s="17">
        <f t="shared" si="2"/>
        <v>0.59630606860158308</v>
      </c>
      <c r="L48" s="22">
        <f>J48+13</f>
        <v>465</v>
      </c>
      <c r="M48" s="18">
        <f t="shared" si="2"/>
        <v>0.61345646437994727</v>
      </c>
      <c r="N48" s="26">
        <f>L48+15</f>
        <v>480</v>
      </c>
      <c r="O48" s="18">
        <f t="shared" si="2"/>
        <v>0.63324538258575203</v>
      </c>
      <c r="P48" s="31">
        <f>M48-K48</f>
        <v>1.7150395778364191E-2</v>
      </c>
      <c r="Q48" s="18">
        <f>O48-M48</f>
        <v>1.9788918205804751E-2</v>
      </c>
      <c r="R48" s="31">
        <f t="shared" si="3"/>
        <v>3.6939313984168942E-2</v>
      </c>
      <c r="S48" s="31"/>
    </row>
    <row r="49" spans="1:19" x14ac:dyDescent="0.25">
      <c r="A49" s="4"/>
      <c r="B49">
        <v>2013</v>
      </c>
      <c r="C49">
        <v>791</v>
      </c>
      <c r="L49" s="22">
        <v>453</v>
      </c>
      <c r="M49" s="17">
        <f t="shared" si="2"/>
        <v>0.572692793931732</v>
      </c>
      <c r="N49" s="26">
        <f>L49+16</f>
        <v>469</v>
      </c>
      <c r="O49" s="18">
        <f t="shared" si="2"/>
        <v>0.59292035398230092</v>
      </c>
      <c r="P49" s="10">
        <f>O49-M49</f>
        <v>2.0227560050568916E-2</v>
      </c>
      <c r="Q49" s="9"/>
      <c r="R49" s="10">
        <f t="shared" si="3"/>
        <v>2.0227560050568916E-2</v>
      </c>
      <c r="S49" s="10"/>
    </row>
    <row r="50" spans="1:19" x14ac:dyDescent="0.25">
      <c r="A50" s="4"/>
      <c r="B50">
        <v>2014</v>
      </c>
      <c r="C50">
        <v>730</v>
      </c>
      <c r="N50" s="26">
        <v>452</v>
      </c>
      <c r="O50" s="17">
        <f t="shared" si="2"/>
        <v>0.61917808219178083</v>
      </c>
      <c r="P50" s="10"/>
      <c r="Q50" s="9"/>
      <c r="R50" s="10"/>
      <c r="S50" s="10">
        <f>O50-G46</f>
        <v>0.16984474885844753</v>
      </c>
    </row>
    <row r="51" spans="1:19" x14ac:dyDescent="0.25">
      <c r="A51" s="4"/>
      <c r="P51" s="10"/>
      <c r="Q51" s="9"/>
      <c r="R51" s="10"/>
    </row>
    <row r="52" spans="1:19" x14ac:dyDescent="0.25">
      <c r="A52" s="4" t="s">
        <v>17</v>
      </c>
      <c r="B52" s="5" t="s">
        <v>21</v>
      </c>
      <c r="P52" s="10"/>
      <c r="Q52" s="9"/>
      <c r="R52" s="10"/>
    </row>
    <row r="53" spans="1:19" x14ac:dyDescent="0.25">
      <c r="A53" s="4"/>
      <c r="B53" s="5" t="s">
        <v>19</v>
      </c>
      <c r="C53">
        <f>147+152</f>
        <v>299</v>
      </c>
      <c r="F53">
        <f>70+28</f>
        <v>98</v>
      </c>
      <c r="G53" s="17">
        <f t="shared" si="0"/>
        <v>0.32775919732441472</v>
      </c>
      <c r="H53">
        <f>76+29</f>
        <v>105</v>
      </c>
      <c r="I53" s="9">
        <f t="shared" si="1"/>
        <v>0.3511705685618729</v>
      </c>
      <c r="J53">
        <f>80+35</f>
        <v>115</v>
      </c>
      <c r="K53" s="18">
        <f t="shared" si="2"/>
        <v>0.38461538461538464</v>
      </c>
      <c r="P53" s="10">
        <f>I53-G53</f>
        <v>2.3411371237458178E-2</v>
      </c>
      <c r="Q53" s="9">
        <f>K53-I53</f>
        <v>3.3444816053511739E-2</v>
      </c>
      <c r="R53" s="10">
        <f t="shared" si="3"/>
        <v>5.6856187290969917E-2</v>
      </c>
    </row>
    <row r="54" spans="1:19" x14ac:dyDescent="0.25">
      <c r="B54">
        <v>2011</v>
      </c>
      <c r="C54">
        <v>344</v>
      </c>
      <c r="H54">
        <v>116</v>
      </c>
      <c r="I54" s="17">
        <f t="shared" si="1"/>
        <v>0.33720930232558138</v>
      </c>
      <c r="J54">
        <f>H54+16</f>
        <v>132</v>
      </c>
      <c r="K54" s="18">
        <f t="shared" si="2"/>
        <v>0.38372093023255816</v>
      </c>
      <c r="L54" s="22">
        <f>J54+6</f>
        <v>138</v>
      </c>
      <c r="M54" s="18">
        <f t="shared" si="2"/>
        <v>0.40116279069767441</v>
      </c>
      <c r="P54" s="10">
        <f>K54-I54</f>
        <v>4.6511627906976771E-2</v>
      </c>
      <c r="Q54" s="9">
        <f>M54-K54</f>
        <v>1.7441860465116255E-2</v>
      </c>
      <c r="R54" s="10">
        <f t="shared" si="3"/>
        <v>6.3953488372093026E-2</v>
      </c>
    </row>
    <row r="55" spans="1:19" s="30" customFormat="1" x14ac:dyDescent="0.25">
      <c r="A55" s="29"/>
      <c r="B55" s="30">
        <v>2012</v>
      </c>
      <c r="C55" s="30">
        <v>375</v>
      </c>
      <c r="E55" s="18"/>
      <c r="G55" s="18"/>
      <c r="I55" s="18"/>
      <c r="J55" s="30">
        <v>123</v>
      </c>
      <c r="K55" s="17">
        <f t="shared" si="2"/>
        <v>0.32800000000000001</v>
      </c>
      <c r="L55" s="22">
        <f>J55+18</f>
        <v>141</v>
      </c>
      <c r="M55" s="18">
        <f t="shared" si="2"/>
        <v>0.376</v>
      </c>
      <c r="N55" s="26">
        <f>L55+10</f>
        <v>151</v>
      </c>
      <c r="O55" s="18">
        <f t="shared" si="2"/>
        <v>0.40266666666666667</v>
      </c>
      <c r="P55" s="31">
        <f>M55-K55</f>
        <v>4.7999999999999987E-2</v>
      </c>
      <c r="Q55" s="18">
        <f>O55-M55</f>
        <v>2.6666666666666672E-2</v>
      </c>
      <c r="R55" s="31">
        <f t="shared" si="3"/>
        <v>7.4666666666666659E-2</v>
      </c>
      <c r="S55" s="31"/>
    </row>
    <row r="56" spans="1:19" x14ac:dyDescent="0.25">
      <c r="A56" s="4"/>
      <c r="B56">
        <v>2013</v>
      </c>
      <c r="C56">
        <v>496</v>
      </c>
      <c r="L56" s="22">
        <v>174</v>
      </c>
      <c r="M56" s="17">
        <f t="shared" si="2"/>
        <v>0.35080645161290325</v>
      </c>
      <c r="N56" s="26">
        <f>L56+17</f>
        <v>191</v>
      </c>
      <c r="O56" s="18">
        <f t="shared" si="2"/>
        <v>0.38508064516129031</v>
      </c>
      <c r="P56" s="31">
        <f>O56-M56</f>
        <v>3.4274193548387066E-2</v>
      </c>
      <c r="Q56" s="9"/>
      <c r="R56" s="10">
        <f t="shared" si="3"/>
        <v>3.4274193548387066E-2</v>
      </c>
      <c r="S56" s="10"/>
    </row>
    <row r="57" spans="1:19" x14ac:dyDescent="0.25">
      <c r="A57" s="4"/>
      <c r="B57">
        <v>2014</v>
      </c>
      <c r="C57">
        <v>449</v>
      </c>
      <c r="N57" s="26">
        <v>148</v>
      </c>
      <c r="O57" s="17">
        <f t="shared" si="2"/>
        <v>0.32962138084632514</v>
      </c>
      <c r="P57" s="10"/>
      <c r="Q57" s="9"/>
      <c r="R57" s="10"/>
      <c r="S57" s="10">
        <f>O57-G53</f>
        <v>1.862183521910421E-3</v>
      </c>
    </row>
    <row r="58" spans="1:19" x14ac:dyDescent="0.25">
      <c r="A58" s="4"/>
      <c r="P58" s="10"/>
      <c r="Q58" s="9"/>
      <c r="R58" s="10"/>
    </row>
    <row r="59" spans="1:19" x14ac:dyDescent="0.25">
      <c r="A59" s="4" t="s">
        <v>18</v>
      </c>
      <c r="B59">
        <v>2009</v>
      </c>
      <c r="C59">
        <v>643</v>
      </c>
      <c r="D59">
        <v>228</v>
      </c>
      <c r="E59" s="17">
        <f t="shared" si="4"/>
        <v>0.35458786936236392</v>
      </c>
      <c r="F59">
        <v>261</v>
      </c>
      <c r="G59" s="9">
        <f t="shared" si="0"/>
        <v>0.40590979782270609</v>
      </c>
      <c r="H59">
        <v>262</v>
      </c>
      <c r="I59" s="9">
        <f t="shared" si="1"/>
        <v>0.40746500777604977</v>
      </c>
      <c r="J59">
        <v>272</v>
      </c>
      <c r="K59" s="18">
        <f t="shared" si="2"/>
        <v>0.42301710730948677</v>
      </c>
      <c r="P59" s="10">
        <f>G59-E59</f>
        <v>5.132192846034217E-2</v>
      </c>
      <c r="Q59" s="9">
        <f>I59-G59</f>
        <v>1.5552099533436836E-3</v>
      </c>
      <c r="R59" s="10">
        <f t="shared" si="3"/>
        <v>5.2877138413685854E-2</v>
      </c>
    </row>
    <row r="60" spans="1:19" x14ac:dyDescent="0.25">
      <c r="B60">
        <v>2010</v>
      </c>
      <c r="C60">
        <v>607</v>
      </c>
      <c r="F60">
        <v>215</v>
      </c>
      <c r="G60" s="17">
        <f t="shared" si="0"/>
        <v>0.35420098846787479</v>
      </c>
      <c r="H60">
        <v>235</v>
      </c>
      <c r="I60" s="9">
        <f t="shared" si="1"/>
        <v>0.38714991762767709</v>
      </c>
      <c r="J60">
        <v>248</v>
      </c>
      <c r="K60" s="18">
        <f t="shared" si="2"/>
        <v>0.40856672158154861</v>
      </c>
      <c r="P60" s="10">
        <f>I60-G60</f>
        <v>3.2948929159802298E-2</v>
      </c>
      <c r="Q60" s="9">
        <f>K60-I60</f>
        <v>2.1416803953871522E-2</v>
      </c>
      <c r="R60" s="10">
        <f t="shared" si="3"/>
        <v>5.436573311367382E-2</v>
      </c>
    </row>
    <row r="61" spans="1:19" x14ac:dyDescent="0.25">
      <c r="B61">
        <v>2011</v>
      </c>
      <c r="C61">
        <v>694</v>
      </c>
      <c r="H61">
        <v>274</v>
      </c>
      <c r="I61" s="17">
        <f t="shared" si="1"/>
        <v>0.39481268011527376</v>
      </c>
      <c r="J61">
        <f>H61+33</f>
        <v>307</v>
      </c>
      <c r="K61" s="18">
        <f t="shared" si="2"/>
        <v>0.44236311239193082</v>
      </c>
      <c r="L61" s="22">
        <f>J61+12</f>
        <v>319</v>
      </c>
      <c r="M61" s="18">
        <f t="shared" si="2"/>
        <v>0.4596541786743516</v>
      </c>
      <c r="P61" s="10">
        <f>K61-I61</f>
        <v>4.7550432276657062E-2</v>
      </c>
      <c r="Q61" s="9">
        <f>M61-K61</f>
        <v>1.7291066282420775E-2</v>
      </c>
      <c r="R61" s="10">
        <f t="shared" si="3"/>
        <v>6.4841498559077837E-2</v>
      </c>
    </row>
    <row r="62" spans="1:19" s="30" customFormat="1" x14ac:dyDescent="0.25">
      <c r="B62" s="30">
        <v>2012</v>
      </c>
      <c r="C62" s="30">
        <v>661</v>
      </c>
      <c r="E62" s="18"/>
      <c r="G62" s="18"/>
      <c r="I62" s="18"/>
      <c r="J62" s="30">
        <v>321</v>
      </c>
      <c r="K62" s="17">
        <f t="shared" si="2"/>
        <v>0.48562783661119518</v>
      </c>
      <c r="L62" s="22">
        <f>J62+20</f>
        <v>341</v>
      </c>
      <c r="M62" s="18">
        <f t="shared" si="2"/>
        <v>0.51588502269288961</v>
      </c>
      <c r="N62" s="26">
        <f>L62+17</f>
        <v>358</v>
      </c>
      <c r="O62" s="18">
        <f t="shared" si="2"/>
        <v>0.54160363086232977</v>
      </c>
      <c r="P62" s="31">
        <f>M62-K62</f>
        <v>3.025718608169442E-2</v>
      </c>
      <c r="Q62" s="18">
        <f>O62-M62</f>
        <v>2.571860816944016E-2</v>
      </c>
      <c r="R62" s="31">
        <f t="shared" si="3"/>
        <v>5.5975794251134581E-2</v>
      </c>
      <c r="S62" s="31"/>
    </row>
    <row r="63" spans="1:19" x14ac:dyDescent="0.25">
      <c r="A63" s="4"/>
      <c r="B63">
        <v>2013</v>
      </c>
      <c r="C63">
        <v>634</v>
      </c>
      <c r="L63" s="22">
        <v>340</v>
      </c>
      <c r="M63" s="17">
        <f t="shared" si="2"/>
        <v>0.5362776025236593</v>
      </c>
      <c r="N63" s="26">
        <f>L63+16</f>
        <v>356</v>
      </c>
      <c r="O63" s="18">
        <f t="shared" si="2"/>
        <v>0.56151419558359617</v>
      </c>
      <c r="P63" s="31">
        <f>O63-M63</f>
        <v>2.5236593059936863E-2</v>
      </c>
      <c r="Q63" s="9"/>
      <c r="R63" s="10">
        <f t="shared" si="3"/>
        <v>2.5236593059936863E-2</v>
      </c>
      <c r="S63" s="10"/>
    </row>
    <row r="64" spans="1:19" x14ac:dyDescent="0.25">
      <c r="A64" s="4"/>
      <c r="B64">
        <v>2014</v>
      </c>
      <c r="C64">
        <v>667</v>
      </c>
      <c r="N64" s="22">
        <v>345</v>
      </c>
      <c r="O64" s="17">
        <f>N64/$C64</f>
        <v>0.51724137931034486</v>
      </c>
      <c r="P64" s="10"/>
      <c r="Q64" s="9"/>
      <c r="R64" s="10"/>
      <c r="S64" s="10">
        <f>O64-G60</f>
        <v>0.16304039084247007</v>
      </c>
    </row>
    <row r="65" spans="1:19" x14ac:dyDescent="0.25">
      <c r="P65" s="10"/>
      <c r="Q65" s="9"/>
      <c r="R65" s="10"/>
      <c r="S65" s="10"/>
    </row>
    <row r="66" spans="1:19" x14ac:dyDescent="0.25">
      <c r="A66" s="4" t="s">
        <v>26</v>
      </c>
      <c r="P66" s="10"/>
      <c r="Q66" s="9"/>
      <c r="R66" s="10"/>
      <c r="S66" s="10"/>
    </row>
    <row r="67" spans="1:19" ht="78.75" x14ac:dyDescent="0.25">
      <c r="B67" s="4" t="s">
        <v>24</v>
      </c>
      <c r="C67" s="1" t="s">
        <v>42</v>
      </c>
      <c r="D67" s="1" t="s">
        <v>41</v>
      </c>
      <c r="E67" s="12"/>
      <c r="F67" s="1" t="s">
        <v>43</v>
      </c>
      <c r="G67" s="12"/>
      <c r="H67" s="1" t="s">
        <v>44</v>
      </c>
      <c r="I67" s="12"/>
      <c r="J67" s="1" t="s">
        <v>47</v>
      </c>
      <c r="N67"/>
      <c r="O67"/>
      <c r="Q67"/>
    </row>
    <row r="68" spans="1:19" x14ac:dyDescent="0.25">
      <c r="B68" s="4"/>
      <c r="C68" s="4"/>
      <c r="D68" s="4"/>
      <c r="E68" s="12"/>
      <c r="F68" s="4"/>
      <c r="G68" s="12"/>
      <c r="H68" s="4"/>
      <c r="I68" s="12"/>
      <c r="J68" s="22"/>
      <c r="L68" s="26"/>
      <c r="N68"/>
      <c r="O68"/>
      <c r="Q68"/>
    </row>
    <row r="69" spans="1:19" x14ac:dyDescent="0.25">
      <c r="B69" s="5" t="s">
        <v>25</v>
      </c>
      <c r="C69">
        <f>C10+C17+C24+C31+C38+C45+C52+C59</f>
        <v>2303</v>
      </c>
      <c r="D69">
        <f>D10+D17+D24+D31+D38+D45+D52+D59</f>
        <v>740</v>
      </c>
      <c r="E69" s="9">
        <f>D69/$C69</f>
        <v>0.32132001736864957</v>
      </c>
      <c r="F69">
        <f>F10+F17+F24+F31+F38+F45+F52+F59</f>
        <v>827</v>
      </c>
      <c r="G69" s="11">
        <f>F69/C69</f>
        <v>0.35909683022145028</v>
      </c>
      <c r="H69">
        <f>H10+H17+H24+H31+H38+H45+H52+H59</f>
        <v>844</v>
      </c>
      <c r="I69" s="9">
        <f>H69/C69</f>
        <v>0.36647850629613549</v>
      </c>
      <c r="J69" s="18">
        <f>I69-E69</f>
        <v>4.5158488927485918E-2</v>
      </c>
      <c r="L69" s="26"/>
      <c r="N69"/>
      <c r="O69"/>
      <c r="Q69"/>
    </row>
    <row r="70" spans="1:19" x14ac:dyDescent="0.25">
      <c r="B70">
        <v>2010</v>
      </c>
      <c r="C70">
        <f>C11+C18+C25+C32+C39+C46+C53+C60</f>
        <v>3875</v>
      </c>
      <c r="D70">
        <f>F11+F18+F25+F32+F39+F46+F53+F60</f>
        <v>1429</v>
      </c>
      <c r="E70" s="9">
        <f t="shared" ref="E70:E74" si="8">D70/$C70</f>
        <v>0.36877419354838709</v>
      </c>
      <c r="F70">
        <f>H11+H18+H25+H32+H39+H46+H53+H60</f>
        <v>1531</v>
      </c>
      <c r="G70" s="11">
        <f t="shared" ref="G70:G73" si="9">F70/C70</f>
        <v>0.39509677419354838</v>
      </c>
      <c r="H70">
        <f>J11+J18+J25+J32+J39+J46+J53+J60</f>
        <v>1620</v>
      </c>
      <c r="I70" s="9">
        <f>H70/C70</f>
        <v>0.41806451612903228</v>
      </c>
      <c r="J70" s="18">
        <f t="shared" ref="J70:J72" si="10">I70-E70</f>
        <v>4.9290322580645196E-2</v>
      </c>
      <c r="L70" s="26"/>
      <c r="N70" s="10"/>
      <c r="O70" s="15"/>
      <c r="P70" s="10"/>
      <c r="Q70"/>
    </row>
    <row r="71" spans="1:19" x14ac:dyDescent="0.25">
      <c r="B71">
        <v>2011</v>
      </c>
      <c r="C71">
        <f>C12+C19+C26+C33+C40+C47+C54+C61</f>
        <v>4068</v>
      </c>
      <c r="D71" s="32">
        <f>H12+H19+H26+H33+H40+H47+H54+H61</f>
        <v>1662</v>
      </c>
      <c r="E71" s="9">
        <f t="shared" si="8"/>
        <v>0.40855457227138642</v>
      </c>
      <c r="F71" s="32">
        <f>J12+J19+J26+J33+J40+J47+J54+J61</f>
        <v>1798</v>
      </c>
      <c r="G71" s="11">
        <f t="shared" si="9"/>
        <v>0.44198623402163223</v>
      </c>
      <c r="H71" s="32">
        <f>L12+L19+L26+L33+L40+L47+L54+L61</f>
        <v>1862</v>
      </c>
      <c r="I71" s="9">
        <f>H71/C71</f>
        <v>0.45771878072763028</v>
      </c>
      <c r="J71" s="18">
        <f t="shared" si="10"/>
        <v>4.9164208456243863E-2</v>
      </c>
      <c r="L71" s="26"/>
      <c r="N71" s="10"/>
      <c r="O71" s="15"/>
      <c r="P71" s="10"/>
      <c r="Q71"/>
    </row>
    <row r="72" spans="1:19" x14ac:dyDescent="0.25">
      <c r="B72">
        <v>2012</v>
      </c>
      <c r="C72">
        <f>C13+C20+C27+C34+C41+C48+C55+C62</f>
        <v>4098</v>
      </c>
      <c r="D72">
        <f>J13+J20+J27+J34+J41+J48+J55+J62</f>
        <v>1846</v>
      </c>
      <c r="E72" s="9">
        <f t="shared" si="8"/>
        <v>0.45046364080039042</v>
      </c>
      <c r="F72">
        <f>L13+L20+L27+L34+L41+L48+L55+L62</f>
        <v>1950</v>
      </c>
      <c r="G72" s="11">
        <f t="shared" si="9"/>
        <v>0.47584187408491946</v>
      </c>
      <c r="H72">
        <f>N13+N20+N27+N34+N41+N48+N55+N62</f>
        <v>2051</v>
      </c>
      <c r="I72" s="9">
        <f>H72/C72</f>
        <v>0.50048804294777938</v>
      </c>
      <c r="J72" s="18">
        <f t="shared" si="10"/>
        <v>5.0024402147388958E-2</v>
      </c>
      <c r="L72" s="26"/>
      <c r="N72" s="10"/>
      <c r="O72" s="15"/>
      <c r="P72" s="10"/>
      <c r="Q72"/>
    </row>
    <row r="73" spans="1:19" x14ac:dyDescent="0.25">
      <c r="B73">
        <v>2013</v>
      </c>
      <c r="C73">
        <f>C14+C21+C28+C35+C42+C49+C56+C63</f>
        <v>4314</v>
      </c>
      <c r="D73">
        <f>L14+L21+L28+L35+L42+L49+L56+L63</f>
        <v>2055</v>
      </c>
      <c r="E73" s="9">
        <f t="shared" si="8"/>
        <v>0.47635605006954101</v>
      </c>
      <c r="F73">
        <f>N14+N21+N28+N35+N42+N49+N56+N63</f>
        <v>2169</v>
      </c>
      <c r="G73" s="11">
        <f t="shared" si="9"/>
        <v>0.50278164116828927</v>
      </c>
      <c r="P73" s="10"/>
      <c r="Q73" s="15"/>
      <c r="R73" s="10"/>
    </row>
    <row r="74" spans="1:19" x14ac:dyDescent="0.25">
      <c r="B74">
        <v>2014</v>
      </c>
      <c r="C74">
        <f>C15+C22+C29+C36+C43+C50+C57+C64</f>
        <v>4199</v>
      </c>
      <c r="D74" s="32">
        <f>N15+N22+N29+N36+N43+N50+N57+N64</f>
        <v>2120</v>
      </c>
      <c r="E74" s="9">
        <f t="shared" si="8"/>
        <v>0.5048821147892355</v>
      </c>
      <c r="F74" s="7"/>
      <c r="G74" s="11"/>
      <c r="P74" s="10"/>
      <c r="S74" s="10"/>
    </row>
    <row r="75" spans="1:19" x14ac:dyDescent="0.25">
      <c r="F75" s="7"/>
      <c r="P75" s="10"/>
      <c r="S75" s="10"/>
    </row>
    <row r="76" spans="1:19" s="4" customFormat="1" x14ac:dyDescent="0.25">
      <c r="A76" s="4" t="s">
        <v>27</v>
      </c>
      <c r="E76" s="12"/>
      <c r="G76" s="11"/>
      <c r="I76" s="12"/>
      <c r="K76" s="19"/>
      <c r="L76" s="21"/>
      <c r="M76" s="19"/>
      <c r="N76" s="25"/>
      <c r="O76" s="19"/>
      <c r="Q76" s="13"/>
      <c r="S76" s="14"/>
    </row>
    <row r="77" spans="1:19" x14ac:dyDescent="0.25">
      <c r="A77" t="s">
        <v>30</v>
      </c>
    </row>
    <row r="78" spans="1:19" x14ac:dyDescent="0.25">
      <c r="A78" t="s">
        <v>48</v>
      </c>
    </row>
    <row r="79" spans="1:19" x14ac:dyDescent="0.25">
      <c r="A79" t="s">
        <v>20</v>
      </c>
    </row>
    <row r="80" spans="1:19" x14ac:dyDescent="0.25">
      <c r="A80" t="s">
        <v>31</v>
      </c>
    </row>
    <row r="82" spans="1:1" x14ac:dyDescent="0.25">
      <c r="A82" s="4" t="s">
        <v>28</v>
      </c>
    </row>
    <row r="83" spans="1:1" x14ac:dyDescent="0.25">
      <c r="A83" t="s">
        <v>46</v>
      </c>
    </row>
    <row r="84" spans="1:1" x14ac:dyDescent="0.25">
      <c r="A84" t="s">
        <v>45</v>
      </c>
    </row>
    <row r="85" spans="1:1" x14ac:dyDescent="0.25">
      <c r="A85" t="s">
        <v>50</v>
      </c>
    </row>
    <row r="86" spans="1:1" x14ac:dyDescent="0.25">
      <c r="A86" s="4" t="s">
        <v>51</v>
      </c>
    </row>
  </sheetData>
  <phoneticPr fontId="6" type="noConversion"/>
  <pageMargins left="0.75000000000000011" right="0.75000000000000011" top="1" bottom="1" header="0.5" footer="0.5"/>
  <pageSetup paperSize="9" scale="84" orientation="landscape" horizontalDpi="4294967292" verticalDpi="4294967292"/>
  <rowBreaks count="1" manualBreakCount="1">
    <brk id="64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Rowan</dc:creator>
  <cp:lastModifiedBy>Patricia Freeman</cp:lastModifiedBy>
  <cp:lastPrinted>2016-09-15T00:06:06Z</cp:lastPrinted>
  <dcterms:created xsi:type="dcterms:W3CDTF">2015-08-27T08:59:27Z</dcterms:created>
  <dcterms:modified xsi:type="dcterms:W3CDTF">2016-09-20T05:47:49Z</dcterms:modified>
</cp:coreProperties>
</file>